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<sst xmlns="http://schemas.openxmlformats.org/spreadsheetml/2006/main" count="126" uniqueCount="123">
  <si>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</si>
  <si>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</si>
  <si>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</si>
  <si>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</si>
  <si>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</si>
  <si>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</si>
  <si>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</si>
  <si>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</si>
  <si>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</si>
  <si>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</si>
  <si>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</si>
  <si>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</si>
  <si>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</si>
  <si>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</si>
  <si>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</si>
  <si>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</si>
  <si>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</si>
  <si>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</si>
  <si>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</si>
  <si>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</si>
  <si>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</si>
  <si>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</si>
  <si>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</si>
  <si>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</si>
  <si>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</si>
  <si>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</si>
  <si>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</si>
  <si>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</si>
  <si>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</si>
  <si>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</si>
  <si>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</si>
  <si>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</si>
  <si>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</si>
  <si>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</si>
  <si>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</si>
  <si>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</si>
  <si>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</si>
  <si>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</si>
  <si>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</si>
  <si>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</si>
  <si>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</si>
  <si>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</si>
  <si>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</si>
  <si>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</si>
  <si>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</si>
  <si>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</si>
  <si>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</si>
  <si>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</si>
  <si>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</si>
  <si>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</si>
  <si>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</si>
  <si>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</si>
  <si>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</si>
  <si>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</si>
  <si>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</si>
  <si>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</si>
  <si>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</si>
  <si>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</si>
  <si>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</si>
  <si>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</si>
  <si>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</si>
  <si>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</si>
  <si>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</si>
  <si>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</si>
  <si>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</si>
  <si>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</si>
  <si>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</si>
  <si>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</si>
  <si>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</si>
  <si>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</si>
  <si>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</si>
  <si>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</si>
  <si>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</si>
  <si>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</si>
  <si>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</si>
  <si>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</si>
  <si>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</si>
  <si>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</si>
  <si>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</si>
  <si>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</si>
  <si>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</si>
  <si>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</si>
  <si>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</si>
  <si>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</si>
  <si>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</si>
  <si>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</si>
  <si>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</si>
  <si>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</si>
  <si>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</si>
  <si>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</si>
  <si>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</si>
  <si>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</si>
  <si>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</si>
  <si>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</si>
  <si>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</si>
  <si>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</si>
  <si>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</si>
  <si>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</si>
  <si>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</si>
  <si>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</si>
  <si>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</si>
  <si>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</si>
  <si>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</si>
  <si>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</si>
  <si>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</si>
  <si>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</si>
  <si>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</si>
  <si>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</si>
  <si>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</si>
  <si>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</si>
  <si>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</si>
  <si>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</si>
  <si>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</si>
  <si>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</si>
  <si>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</si>
  <si>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</si>
  <si>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</si>
  <si>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</si>
  <si>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</si>
  <si>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</si>
  <si>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</si>
  <si>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Залишок призначень до плану 6 місяців</t>
  </si>
  <si>
    <t>Профінансовано станом на 09.06.2016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</si>
</sst>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4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I1" sqref="I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hidden="1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0" style="7" hidden="1" customWidth="1"/>
    <col min="27" max="16384" width="9.33203125" style="7" customWidth="1"/>
  </cols>
  <sheetData>
    <row r="1" spans="1:8" ht="21" customHeight="1">
      <c r="A1" s="91" t="s">
        <v>11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12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4" t="s">
        <v>8</v>
      </c>
      <c r="B4" s="12"/>
      <c r="C4" s="94" t="s">
        <v>14</v>
      </c>
      <c r="D4" s="93" t="s">
        <v>15</v>
      </c>
      <c r="E4" s="93" t="s">
        <v>0</v>
      </c>
      <c r="F4" s="93" t="s">
        <v>1</v>
      </c>
      <c r="G4" s="14" t="s">
        <v>2</v>
      </c>
      <c r="H4" s="93" t="s">
        <v>122</v>
      </c>
      <c r="I4" s="83" t="s">
        <v>42</v>
      </c>
      <c r="J4" s="83" t="s">
        <v>112</v>
      </c>
      <c r="K4" s="88" t="s">
        <v>121</v>
      </c>
      <c r="L4" s="83" t="s">
        <v>43</v>
      </c>
      <c r="M4" s="83" t="s">
        <v>44</v>
      </c>
      <c r="N4" s="83" t="s">
        <v>45</v>
      </c>
      <c r="O4" s="83" t="s">
        <v>46</v>
      </c>
      <c r="P4" s="83" t="s">
        <v>47</v>
      </c>
      <c r="Q4" s="83" t="s">
        <v>48</v>
      </c>
      <c r="R4" s="83" t="s">
        <v>49</v>
      </c>
      <c r="S4" s="83" t="s">
        <v>50</v>
      </c>
      <c r="T4" s="83" t="s">
        <v>51</v>
      </c>
      <c r="U4" s="83" t="s">
        <v>52</v>
      </c>
      <c r="V4" s="83" t="s">
        <v>53</v>
      </c>
      <c r="W4" s="83" t="s">
        <v>54</v>
      </c>
      <c r="X4" s="83" t="s">
        <v>55</v>
      </c>
    </row>
    <row r="5" spans="1:24" ht="55.5" customHeight="1">
      <c r="A5" s="94"/>
      <c r="B5" s="15" t="s">
        <v>9</v>
      </c>
      <c r="C5" s="94"/>
      <c r="D5" s="93"/>
      <c r="E5" s="93"/>
      <c r="F5" s="93"/>
      <c r="G5" s="13" t="s">
        <v>7</v>
      </c>
      <c r="H5" s="93"/>
      <c r="I5" s="84"/>
      <c r="J5" s="90"/>
      <c r="K5" s="89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4"/>
      <c r="K6" s="53"/>
    </row>
    <row r="7" spans="1:25" s="16" customFormat="1" ht="19.5" customHeight="1">
      <c r="A7" s="85" t="s">
        <v>16</v>
      </c>
      <c r="B7" s="86"/>
      <c r="C7" s="86"/>
      <c r="D7" s="86"/>
      <c r="E7" s="86"/>
      <c r="F7" s="86"/>
      <c r="G7" s="86"/>
      <c r="H7" s="86"/>
      <c r="I7" s="87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44759388.230000004</v>
      </c>
      <c r="I8" s="73">
        <f>H8/D8*100</f>
        <v>37.27153068581007</v>
      </c>
      <c r="J8" s="75"/>
      <c r="K8" s="70">
        <f aca="true" t="shared" si="0" ref="K8:X8">K9+K15</f>
        <v>7544481.929999999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16054495.830000002</v>
      </c>
      <c r="I9" s="23">
        <f>H9/D9*100</f>
        <v>51.56146177009793</v>
      </c>
      <c r="J9" s="77">
        <f>(H10+H12+H13+H14)/(L9+M9+N9+O9+P9)*100</f>
        <v>88.40835883363192</v>
      </c>
      <c r="K9" s="23">
        <f>L9+M9+N9+O9+P9+Q9-H10-H11-H12-H13-H14</f>
        <v>5086256.289999998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</f>
        <v>8218537.930000002</v>
      </c>
      <c r="I10" s="50">
        <f>H10/D10*100</f>
        <v>59.993707058909415</v>
      </c>
      <c r="J10" s="76"/>
      <c r="K10" s="55">
        <f>E10-H10</f>
        <v>5480462.069999998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</f>
        <v>2042191.14</v>
      </c>
      <c r="I12" s="50">
        <f aca="true" t="shared" si="1" ref="I12:I22">H12/D12*100</f>
        <v>75.90539204851625</v>
      </c>
      <c r="J12" s="76"/>
      <c r="K12" s="55">
        <f>E12-H12</f>
        <v>648251.6400000004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</f>
        <v>562031</v>
      </c>
      <c r="I13" s="50">
        <f t="shared" si="1"/>
        <v>28.101549999999996</v>
      </c>
      <c r="J13" s="76"/>
      <c r="K13" s="55">
        <f>E13-H13</f>
        <v>1437969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5157235.76</v>
      </c>
      <c r="I15" s="50">
        <f t="shared" si="1"/>
        <v>43.0282399859833</v>
      </c>
      <c r="J15" s="77">
        <f>H15/(L15+M15+N15+O15+P15)*100</f>
        <v>89.58610851704854</v>
      </c>
      <c r="K15" s="56">
        <f>L15+M15+N15+O15+P15+Q15-H15</f>
        <v>2458225.6400000006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</f>
        <v>2250506.24</v>
      </c>
      <c r="I16" s="51">
        <f>H16/D16*100</f>
        <v>54.97755563698548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</f>
        <v>368472.63</v>
      </c>
      <c r="I19" s="51">
        <f t="shared" si="1"/>
        <v>44.98506043218166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1">
        <f t="shared" si="1"/>
        <v>2.5264381270903007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28704892.400000002</v>
      </c>
      <c r="I23" s="49">
        <f>H23/D23*100</f>
        <v>32.26958429919486</v>
      </c>
      <c r="J23" s="79">
        <f>H23/(L23+M23+N23+O23+P23)*100</f>
        <v>83.85696510149536</v>
      </c>
      <c r="K23" s="56">
        <f>L23+M23+N23+O23+P23+Q23-H23</f>
        <v>9309021.98</v>
      </c>
      <c r="L23" s="68">
        <f aca="true" t="shared" si="3" ref="L23:X23">SUM(L24:L48)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3783135.38</v>
      </c>
      <c r="R23" s="68">
        <f t="shared" si="3"/>
        <v>22193192.62</v>
      </c>
      <c r="S23" s="68">
        <f t="shared" si="3"/>
        <v>9041860</v>
      </c>
      <c r="T23" s="68">
        <f t="shared" si="3"/>
        <v>2416582.25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88953400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8">H24/(L24+M24+N24+O24+P24)*100</f>
        <v>85</v>
      </c>
      <c r="K24" s="56">
        <f aca="true" t="shared" si="5" ref="K24:K48">L24+M24+N24+O24+P24+Q24-H24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6" ref="D25:D45">F25</f>
        <v>90000</v>
      </c>
      <c r="E25" s="30"/>
      <c r="F25" s="33">
        <f aca="true" t="shared" si="7" ref="F25:F45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8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58" t="s">
        <v>108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115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/>
      <c r="K30" s="56">
        <f t="shared" si="5"/>
        <v>0</v>
      </c>
      <c r="L30" s="57"/>
      <c r="M30" s="45"/>
      <c r="N30" s="45"/>
      <c r="O30" s="45"/>
      <c r="P30" s="45"/>
      <c r="Q30" s="45"/>
      <c r="R30" s="45"/>
      <c r="S30" s="45">
        <v>700000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58" t="s">
        <v>113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25">
        <v>14000</v>
      </c>
      <c r="I32" s="50">
        <f>H32/D32*100</f>
        <v>2</v>
      </c>
      <c r="J32" s="79">
        <f t="shared" si="4"/>
        <v>7.000000000000001</v>
      </c>
      <c r="K32" s="56">
        <f t="shared" si="5"/>
        <v>332801.38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50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5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110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</f>
        <v>12924433.720000003</v>
      </c>
      <c r="I40" s="50">
        <f>H40/D40*100</f>
        <v>59.05602055102482</v>
      </c>
      <c r="J40" s="79">
        <f t="shared" si="4"/>
        <v>130.2667619343945</v>
      </c>
      <c r="K40" s="56">
        <f t="shared" si="5"/>
        <v>-3002920.7200000025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5"/>
        <v>427900</v>
      </c>
      <c r="L41" s="57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173000+900000+31000+900000+32000+1100000+32000</f>
        <v>3168000</v>
      </c>
      <c r="I42" s="50">
        <f>H42/D42*100</f>
        <v>63.36000000000001</v>
      </c>
      <c r="J42" s="79">
        <f t="shared" si="4"/>
        <v>79.2</v>
      </c>
      <c r="K42" s="56">
        <f t="shared" si="5"/>
        <v>1832000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114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/>
      <c r="K43" s="56">
        <f t="shared" si="5"/>
        <v>0</v>
      </c>
      <c r="L43" s="57"/>
      <c r="M43" s="45"/>
      <c r="N43" s="45"/>
      <c r="O43" s="45"/>
      <c r="P43" s="45"/>
      <c r="Q43" s="45"/>
      <c r="R43" s="45"/>
      <c r="S43" s="45"/>
      <c r="T43" s="45"/>
      <c r="U43" s="45">
        <v>1500000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18">
      <c r="A45" s="1"/>
      <c r="B45" s="21"/>
      <c r="C45" s="58" t="s">
        <v>117</v>
      </c>
      <c r="D45" s="33">
        <f t="shared" si="6"/>
        <v>89760</v>
      </c>
      <c r="E45" s="30"/>
      <c r="F45" s="33">
        <f t="shared" si="7"/>
        <v>89760</v>
      </c>
      <c r="G45" s="33">
        <v>89760</v>
      </c>
      <c r="H45" s="25"/>
      <c r="I45" s="50"/>
      <c r="J45" s="79"/>
      <c r="K45" s="56">
        <f t="shared" si="5"/>
        <v>0</v>
      </c>
      <c r="L45" s="57"/>
      <c r="M45" s="45"/>
      <c r="N45" s="45"/>
      <c r="O45" s="45"/>
      <c r="P45" s="45"/>
      <c r="Q45" s="45"/>
      <c r="R45" s="57"/>
      <c r="S45" s="57"/>
      <c r="T45" s="57">
        <v>89760</v>
      </c>
      <c r="U45" s="57"/>
      <c r="V45" s="57"/>
      <c r="W45" s="57"/>
      <c r="X45" s="67">
        <f t="shared" si="8"/>
        <v>89760</v>
      </c>
      <c r="Y45" s="81">
        <f t="shared" si="9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</f>
        <v>6606685.68</v>
      </c>
      <c r="I46" s="50">
        <f>H46/D46*100</f>
        <v>98.60724895522388</v>
      </c>
      <c r="J46" s="79">
        <f t="shared" si="4"/>
        <v>98.60724895522388</v>
      </c>
      <c r="K46" s="56">
        <f t="shared" si="5"/>
        <v>93314.3200000003</v>
      </c>
      <c r="L46" s="64"/>
      <c r="M46" s="45"/>
      <c r="N46" s="45">
        <v>4000000</v>
      </c>
      <c r="O46" s="45">
        <v>2700000</v>
      </c>
      <c r="P46" s="45"/>
      <c r="Q46" s="45"/>
      <c r="R46" s="64"/>
      <c r="S46" s="64"/>
      <c r="T46" s="64"/>
      <c r="U46" s="64"/>
      <c r="V46" s="64"/>
      <c r="W46" s="64"/>
      <c r="X46" s="67">
        <f t="shared" si="8"/>
        <v>6700000</v>
      </c>
      <c r="Y46" s="81">
        <f t="shared" si="9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50">
        <f>H47/D47*100</f>
        <v>2.35066</v>
      </c>
      <c r="J47" s="79">
        <f t="shared" si="4"/>
        <v>4.249717789494465</v>
      </c>
      <c r="K47" s="56">
        <f t="shared" si="5"/>
        <v>2648133</v>
      </c>
      <c r="L47" s="64"/>
      <c r="M47" s="45"/>
      <c r="N47" s="45">
        <v>500000</v>
      </c>
      <c r="O47" s="45">
        <f>4500000-4600000</f>
        <v>-100000</v>
      </c>
      <c r="P47" s="45">
        <v>2365666</v>
      </c>
      <c r="Q47" s="45">
        <f>2000000-2000000</f>
        <v>0</v>
      </c>
      <c r="R47" s="64">
        <f>4300000-2700000</f>
        <v>1600000</v>
      </c>
      <c r="S47" s="64">
        <f>2300000-2300000</f>
        <v>0</v>
      </c>
      <c r="T47" s="64"/>
      <c r="U47" s="64">
        <v>634334</v>
      </c>
      <c r="V47" s="64"/>
      <c r="W47" s="64"/>
      <c r="X47" s="67">
        <f t="shared" si="8"/>
        <v>5000000</v>
      </c>
      <c r="Y47" s="81">
        <f t="shared" si="9"/>
        <v>0</v>
      </c>
    </row>
    <row r="48" spans="1:25" ht="22.5" customHeight="1">
      <c r="A48" s="1"/>
      <c r="B48" s="59"/>
      <c r="C48" s="58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50">
        <f>H48/D48*100</f>
        <v>1.044857142857143</v>
      </c>
      <c r="J48" s="79">
        <f t="shared" si="4"/>
        <v>8.11764705882353</v>
      </c>
      <c r="K48" s="56">
        <f t="shared" si="5"/>
        <v>3464194</v>
      </c>
      <c r="L48" s="64"/>
      <c r="M48" s="64"/>
      <c r="N48" s="64"/>
      <c r="O48" s="64">
        <f>755868.99-512000</f>
        <v>243868.99</v>
      </c>
      <c r="P48" s="64">
        <f>1600000+2244131.01-2087000-1100000</f>
        <v>657131.0099999998</v>
      </c>
      <c r="Q48" s="64">
        <f>1000000+1000000+261334+375000</f>
        <v>2636334</v>
      </c>
      <c r="R48" s="64">
        <f>400000+512000+201333+375000</f>
        <v>1488333</v>
      </c>
      <c r="S48" s="64">
        <f>733333+150000</f>
        <v>883333</v>
      </c>
      <c r="T48" s="64">
        <f>833334+200000</f>
        <v>1033334</v>
      </c>
      <c r="U48" s="64">
        <v>57666</v>
      </c>
      <c r="V48" s="64"/>
      <c r="W48" s="64"/>
      <c r="X48" s="67">
        <f t="shared" si="8"/>
        <v>7000000</v>
      </c>
      <c r="Y48" s="81">
        <f t="shared" si="9"/>
        <v>0</v>
      </c>
    </row>
    <row r="49" spans="1:25" s="16" customFormat="1" ht="24" customHeight="1">
      <c r="A49" s="85" t="s">
        <v>30</v>
      </c>
      <c r="B49" s="86"/>
      <c r="C49" s="86"/>
      <c r="D49" s="86"/>
      <c r="E49" s="86"/>
      <c r="F49" s="86"/>
      <c r="G49" s="86"/>
      <c r="H49" s="86"/>
      <c r="I49" s="86"/>
      <c r="J49" s="74"/>
      <c r="K49" s="56"/>
      <c r="X49" s="72"/>
      <c r="Y49" s="81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15003641.58</v>
      </c>
      <c r="I50" s="71">
        <f>H50/D50*100</f>
        <v>19.981860049030775</v>
      </c>
      <c r="J50" s="80"/>
      <c r="K50" s="56"/>
      <c r="X50" s="72"/>
      <c r="Y50" s="81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15003641.58</v>
      </c>
      <c r="I51" s="52">
        <f>H51/D51*100</f>
        <v>19.981860049030775</v>
      </c>
      <c r="J51" s="79">
        <f>H51/(L51+M51+N51+O51+P51)*100</f>
        <v>110.04178294046805</v>
      </c>
      <c r="K51" s="56">
        <f>L51+M51+N51+O51+P51+Q51-H51</f>
        <v>12760083.590000002</v>
      </c>
      <c r="L51" s="66">
        <f>SUM(L52:L101)</f>
        <v>0</v>
      </c>
      <c r="M51" s="66">
        <f aca="true" t="shared" si="10" ref="M51:X51">SUM(M52:M101)</f>
        <v>2416000</v>
      </c>
      <c r="N51" s="66">
        <f>SUM(N52:N101)</f>
        <v>3584000</v>
      </c>
      <c r="O51" s="66">
        <f t="shared" si="10"/>
        <v>640500</v>
      </c>
      <c r="P51" s="66">
        <f t="shared" si="10"/>
        <v>6993995.17</v>
      </c>
      <c r="Q51" s="66">
        <f t="shared" si="10"/>
        <v>14129230</v>
      </c>
      <c r="R51" s="66">
        <f t="shared" si="10"/>
        <v>10474000</v>
      </c>
      <c r="S51" s="66">
        <f t="shared" si="10"/>
        <v>9585470.26</v>
      </c>
      <c r="T51" s="66">
        <f t="shared" si="10"/>
        <v>2874428.61</v>
      </c>
      <c r="U51" s="66">
        <f t="shared" si="10"/>
        <v>8489445.91</v>
      </c>
      <c r="V51" s="66">
        <f t="shared" si="10"/>
        <v>12335125.219999999</v>
      </c>
      <c r="W51" s="66">
        <f>SUM(W52:W101)</f>
        <v>3564115.83</v>
      </c>
      <c r="X51" s="66">
        <f t="shared" si="10"/>
        <v>75086311</v>
      </c>
      <c r="Y51" s="81">
        <f t="shared" si="9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1" ref="D52:D90">F52</f>
        <v>768000</v>
      </c>
      <c r="E52" s="30"/>
      <c r="F52" s="25">
        <f aca="true" t="shared" si="12" ref="F52:F101">G52</f>
        <v>768000</v>
      </c>
      <c r="G52" s="33">
        <f>192000+576000</f>
        <v>768000</v>
      </c>
      <c r="H52" s="25">
        <f>81260+1427.14+45242+45091.14+234240.07</f>
        <v>407260.35</v>
      </c>
      <c r="I52" s="50">
        <f>H52/D52*100</f>
        <v>53.02869140625</v>
      </c>
      <c r="J52" s="79">
        <f>H52/(L52+M52+N52+O52+P52)*100</f>
        <v>100</v>
      </c>
      <c r="K52" s="56">
        <f aca="true" t="shared" si="13" ref="K52:K101">L52+M52+N52+O52+P52+Q52-H52</f>
        <v>0</v>
      </c>
      <c r="L52" s="64"/>
      <c r="M52" s="64">
        <v>92000</v>
      </c>
      <c r="N52" s="64">
        <v>100000</v>
      </c>
      <c r="O52" s="64">
        <v>300000</v>
      </c>
      <c r="P52" s="64">
        <f>276000-360739.65</f>
        <v>-84739.65000000002</v>
      </c>
      <c r="Q52" s="64"/>
      <c r="R52" s="64"/>
      <c r="S52" s="64"/>
      <c r="T52" s="64"/>
      <c r="U52" s="64"/>
      <c r="V52" s="64"/>
      <c r="W52" s="64">
        <f>360739.65</f>
        <v>360739.65</v>
      </c>
      <c r="X52" s="64">
        <f>SUM(L52:W52)</f>
        <v>768000</v>
      </c>
      <c r="Y52" s="81">
        <f t="shared" si="9"/>
        <v>0</v>
      </c>
    </row>
    <row r="53" spans="1:25" s="16" customFormat="1" ht="23.25" customHeight="1">
      <c r="A53" s="1"/>
      <c r="B53" s="29"/>
      <c r="C53" s="61" t="s">
        <v>73</v>
      </c>
      <c r="D53" s="32">
        <f t="shared" si="11"/>
        <v>64000</v>
      </c>
      <c r="E53" s="30"/>
      <c r="F53" s="25">
        <f t="shared" si="12"/>
        <v>64000</v>
      </c>
      <c r="G53" s="32">
        <f>164000-100000</f>
        <v>64000</v>
      </c>
      <c r="H53" s="25"/>
      <c r="I53" s="50"/>
      <c r="J53" s="79"/>
      <c r="K53" s="56">
        <f t="shared" si="13"/>
        <v>64000</v>
      </c>
      <c r="L53" s="64"/>
      <c r="M53" s="64"/>
      <c r="N53" s="64"/>
      <c r="O53" s="64">
        <v>50000</v>
      </c>
      <c r="P53" s="64">
        <f>50000-100000</f>
        <v>-50000</v>
      </c>
      <c r="Q53" s="64">
        <v>64000</v>
      </c>
      <c r="R53" s="64"/>
      <c r="S53" s="64"/>
      <c r="T53" s="64"/>
      <c r="U53" s="64"/>
      <c r="V53" s="64"/>
      <c r="W53" s="64">
        <f>100000-100000</f>
        <v>0</v>
      </c>
      <c r="X53" s="64">
        <f aca="true" t="shared" si="14" ref="X53:X101">SUM(L53:W53)</f>
        <v>64000</v>
      </c>
      <c r="Y53" s="81">
        <f t="shared" si="9"/>
        <v>0</v>
      </c>
    </row>
    <row r="54" spans="1:25" s="16" customFormat="1" ht="26.25" customHeight="1">
      <c r="A54" s="1"/>
      <c r="B54" s="29"/>
      <c r="C54" s="61" t="s">
        <v>74</v>
      </c>
      <c r="D54" s="32">
        <f t="shared" si="11"/>
        <v>109800</v>
      </c>
      <c r="E54" s="30"/>
      <c r="F54" s="25">
        <f t="shared" si="12"/>
        <v>109800</v>
      </c>
      <c r="G54" s="32">
        <v>109800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>
        <f>109800-109800</f>
        <v>0</v>
      </c>
      <c r="Q54" s="64"/>
      <c r="R54" s="64"/>
      <c r="S54" s="64"/>
      <c r="T54" s="64"/>
      <c r="U54" s="64"/>
      <c r="V54" s="64"/>
      <c r="W54" s="64">
        <f>109800</f>
        <v>109800</v>
      </c>
      <c r="X54" s="64">
        <f t="shared" si="14"/>
        <v>109800</v>
      </c>
      <c r="Y54" s="81">
        <f t="shared" si="9"/>
        <v>0</v>
      </c>
    </row>
    <row r="55" spans="1:25" s="16" customFormat="1" ht="40.5" customHeight="1">
      <c r="A55" s="1"/>
      <c r="B55" s="29"/>
      <c r="C55" s="61" t="s">
        <v>75</v>
      </c>
      <c r="D55" s="32">
        <f t="shared" si="11"/>
        <v>25280</v>
      </c>
      <c r="E55" s="30"/>
      <c r="F55" s="25">
        <f t="shared" si="12"/>
        <v>25280</v>
      </c>
      <c r="G55" s="32">
        <v>25280</v>
      </c>
      <c r="H55" s="25"/>
      <c r="I55" s="50"/>
      <c r="J55" s="79"/>
      <c r="K55" s="56">
        <f t="shared" si="13"/>
        <v>25280</v>
      </c>
      <c r="L55" s="64"/>
      <c r="M55" s="64"/>
      <c r="N55" s="64"/>
      <c r="O55" s="64"/>
      <c r="P55" s="64"/>
      <c r="Q55" s="64">
        <v>25280</v>
      </c>
      <c r="R55" s="64"/>
      <c r="S55" s="64"/>
      <c r="T55" s="64"/>
      <c r="U55" s="64"/>
      <c r="V55" s="64"/>
      <c r="W55" s="64"/>
      <c r="X55" s="64">
        <f t="shared" si="14"/>
        <v>25280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76</v>
      </c>
      <c r="D56" s="32">
        <f t="shared" si="11"/>
        <v>600000</v>
      </c>
      <c r="E56" s="30"/>
      <c r="F56" s="25">
        <f t="shared" si="12"/>
        <v>600000</v>
      </c>
      <c r="G56" s="32">
        <v>600000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570000</v>
      </c>
      <c r="T56" s="65"/>
      <c r="U56" s="65"/>
      <c r="V56" s="65"/>
      <c r="W56" s="65">
        <f>30000</f>
        <v>30000</v>
      </c>
      <c r="X56" s="64">
        <f t="shared" si="14"/>
        <v>600000</v>
      </c>
      <c r="Y56" s="81">
        <f t="shared" si="9"/>
        <v>0</v>
      </c>
    </row>
    <row r="57" spans="1:25" s="16" customFormat="1" ht="24.75" customHeight="1">
      <c r="A57" s="1"/>
      <c r="B57" s="29"/>
      <c r="C57" s="61" t="s">
        <v>77</v>
      </c>
      <c r="D57" s="32">
        <f t="shared" si="11"/>
        <v>850000</v>
      </c>
      <c r="E57" s="30"/>
      <c r="F57" s="25">
        <f t="shared" si="12"/>
        <v>850000</v>
      </c>
      <c r="G57" s="32">
        <v>850000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>
        <v>290103.26</v>
      </c>
      <c r="T57" s="65">
        <v>15002.85</v>
      </c>
      <c r="U57" s="65">
        <v>514893.89</v>
      </c>
      <c r="V57" s="65"/>
      <c r="W57" s="65">
        <f>30000</f>
        <v>30000</v>
      </c>
      <c r="X57" s="64">
        <f t="shared" si="14"/>
        <v>850000</v>
      </c>
      <c r="Y57" s="81">
        <f t="shared" si="9"/>
        <v>0</v>
      </c>
    </row>
    <row r="58" spans="1:25" s="16" customFormat="1" ht="22.5" customHeight="1">
      <c r="A58" s="1"/>
      <c r="B58" s="29"/>
      <c r="C58" s="61" t="s">
        <v>78</v>
      </c>
      <c r="D58" s="32">
        <f t="shared" si="11"/>
        <v>750000</v>
      </c>
      <c r="E58" s="30"/>
      <c r="F58" s="25">
        <f t="shared" si="12"/>
        <v>750000</v>
      </c>
      <c r="G58" s="32">
        <v>750000</v>
      </c>
      <c r="H58" s="25"/>
      <c r="I58" s="50"/>
      <c r="J58" s="79"/>
      <c r="K58" s="56">
        <f t="shared" si="13"/>
        <v>0</v>
      </c>
      <c r="L58" s="64"/>
      <c r="M58" s="64"/>
      <c r="N58" s="64"/>
      <c r="O58" s="64"/>
      <c r="P58" s="65">
        <f>30000-30000</f>
        <v>0</v>
      </c>
      <c r="Q58" s="65"/>
      <c r="R58" s="65"/>
      <c r="S58" s="65"/>
      <c r="T58" s="65"/>
      <c r="U58" s="65">
        <v>494552.02</v>
      </c>
      <c r="V58" s="65">
        <v>225447.98</v>
      </c>
      <c r="W58" s="65">
        <f>30000</f>
        <v>30000</v>
      </c>
      <c r="X58" s="64">
        <f t="shared" si="14"/>
        <v>750000</v>
      </c>
      <c r="Y58" s="81">
        <f t="shared" si="9"/>
        <v>0</v>
      </c>
    </row>
    <row r="59" spans="1:25" s="16" customFormat="1" ht="40.5" customHeight="1">
      <c r="A59" s="1"/>
      <c r="B59" s="29"/>
      <c r="C59" s="61" t="s">
        <v>116</v>
      </c>
      <c r="D59" s="32">
        <f t="shared" si="11"/>
        <v>1180000</v>
      </c>
      <c r="E59" s="30"/>
      <c r="F59" s="25">
        <f t="shared" si="12"/>
        <v>1180000</v>
      </c>
      <c r="G59" s="32">
        <f>850000+330000</f>
        <v>1180000</v>
      </c>
      <c r="H59" s="25">
        <f>553277.5</f>
        <v>553277.5</v>
      </c>
      <c r="I59" s="50">
        <f>H59/D59*100</f>
        <v>46.887923728813554</v>
      </c>
      <c r="J59" s="79"/>
      <c r="K59" s="56">
        <f t="shared" si="13"/>
        <v>176722.5</v>
      </c>
      <c r="L59" s="64"/>
      <c r="M59" s="64"/>
      <c r="N59" s="64"/>
      <c r="O59" s="64"/>
      <c r="P59" s="65">
        <f>30000-30000+30000</f>
        <v>30000</v>
      </c>
      <c r="Q59" s="65">
        <v>700000</v>
      </c>
      <c r="R59" s="65"/>
      <c r="S59" s="65">
        <f>300000-200000</f>
        <v>100000</v>
      </c>
      <c r="T59" s="65">
        <v>300000</v>
      </c>
      <c r="U59" s="65">
        <f>520000-500000</f>
        <v>20000</v>
      </c>
      <c r="V59" s="65"/>
      <c r="W59" s="65">
        <f>30000</f>
        <v>30000</v>
      </c>
      <c r="X59" s="64">
        <f t="shared" si="14"/>
        <v>1180000</v>
      </c>
      <c r="Y59" s="81">
        <f t="shared" si="9"/>
        <v>0</v>
      </c>
    </row>
    <row r="60" spans="1:25" s="16" customFormat="1" ht="40.5" customHeight="1" hidden="1">
      <c r="A60" s="1"/>
      <c r="B60" s="29"/>
      <c r="C60" s="61" t="s">
        <v>79</v>
      </c>
      <c r="D60" s="32">
        <f t="shared" si="11"/>
        <v>0</v>
      </c>
      <c r="E60" s="30"/>
      <c r="F60" s="25">
        <f t="shared" si="12"/>
        <v>0</v>
      </c>
      <c r="G60" s="32">
        <f>550000-550000</f>
        <v>0</v>
      </c>
      <c r="H60" s="25"/>
      <c r="I60" s="50" t="e">
        <f>H60/D60*100</f>
        <v>#DIV/0!</v>
      </c>
      <c r="J60" s="79"/>
      <c r="K60" s="56">
        <f t="shared" si="13"/>
        <v>0</v>
      </c>
      <c r="L60" s="64"/>
      <c r="M60" s="64"/>
      <c r="N60" s="64"/>
      <c r="O60" s="64"/>
      <c r="P60" s="65">
        <f>30000-30000</f>
        <v>0</v>
      </c>
      <c r="Q60" s="65"/>
      <c r="R60" s="65"/>
      <c r="S60" s="65"/>
      <c r="T60" s="65">
        <f>520000-520000</f>
        <v>0</v>
      </c>
      <c r="U60" s="65"/>
      <c r="V60" s="65"/>
      <c r="W60" s="65">
        <f>30000-30000</f>
        <v>0</v>
      </c>
      <c r="X60" s="64">
        <f t="shared" si="14"/>
        <v>0</v>
      </c>
      <c r="Y60" s="81">
        <f t="shared" si="9"/>
        <v>0</v>
      </c>
    </row>
    <row r="61" spans="1:25" s="16" customFormat="1" ht="40.5" customHeight="1">
      <c r="A61" s="1"/>
      <c r="B61" s="29"/>
      <c r="C61" s="61" t="s">
        <v>80</v>
      </c>
      <c r="D61" s="32">
        <f t="shared" si="11"/>
        <v>120000</v>
      </c>
      <c r="E61" s="30"/>
      <c r="F61" s="25">
        <f t="shared" si="12"/>
        <v>120000</v>
      </c>
      <c r="G61" s="32">
        <v>120000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>
        <v>50000</v>
      </c>
      <c r="P61" s="64">
        <f>70000-120000</f>
        <v>-50000</v>
      </c>
      <c r="Q61" s="64"/>
      <c r="R61" s="64"/>
      <c r="S61" s="64"/>
      <c r="T61" s="64"/>
      <c r="U61" s="64"/>
      <c r="V61" s="64"/>
      <c r="W61" s="64">
        <f>120000</f>
        <v>120000</v>
      </c>
      <c r="X61" s="64">
        <f t="shared" si="14"/>
        <v>120000</v>
      </c>
      <c r="Y61" s="81">
        <f t="shared" si="9"/>
        <v>0</v>
      </c>
    </row>
    <row r="62" spans="1:25" s="16" customFormat="1" ht="24.75" customHeight="1">
      <c r="A62" s="1"/>
      <c r="B62" s="29"/>
      <c r="C62" s="61" t="s">
        <v>81</v>
      </c>
      <c r="D62" s="32">
        <f t="shared" si="11"/>
        <v>128800</v>
      </c>
      <c r="E62" s="30"/>
      <c r="F62" s="25">
        <f t="shared" si="12"/>
        <v>128800</v>
      </c>
      <c r="G62" s="32">
        <v>128800</v>
      </c>
      <c r="H62" s="25"/>
      <c r="I62" s="50"/>
      <c r="J62" s="79"/>
      <c r="K62" s="56">
        <f t="shared" si="13"/>
        <v>0</v>
      </c>
      <c r="L62" s="64"/>
      <c r="M62" s="64"/>
      <c r="N62" s="64"/>
      <c r="O62" s="64"/>
      <c r="P62" s="64"/>
      <c r="Q62" s="64"/>
      <c r="R62" s="64"/>
      <c r="S62" s="64">
        <v>64400</v>
      </c>
      <c r="T62" s="64">
        <v>64400</v>
      </c>
      <c r="U62" s="64"/>
      <c r="V62" s="64"/>
      <c r="W62" s="64"/>
      <c r="X62" s="64">
        <f t="shared" si="14"/>
        <v>128800</v>
      </c>
      <c r="Y62" s="81">
        <f t="shared" si="9"/>
        <v>0</v>
      </c>
    </row>
    <row r="63" spans="1:25" s="16" customFormat="1" ht="23.25" customHeight="1">
      <c r="A63" s="1"/>
      <c r="B63" s="29"/>
      <c r="C63" s="61" t="s">
        <v>82</v>
      </c>
      <c r="D63" s="32">
        <f t="shared" si="11"/>
        <v>5000</v>
      </c>
      <c r="E63" s="30"/>
      <c r="F63" s="25">
        <f t="shared" si="12"/>
        <v>5000</v>
      </c>
      <c r="G63" s="32">
        <v>5000</v>
      </c>
      <c r="H63" s="25"/>
      <c r="I63" s="50"/>
      <c r="J63" s="79">
        <f>H63/(L63+M63+N63+O63+P63)*100</f>
        <v>0</v>
      </c>
      <c r="K63" s="56">
        <f t="shared" si="13"/>
        <v>5000</v>
      </c>
      <c r="L63" s="64"/>
      <c r="M63" s="64"/>
      <c r="N63" s="64"/>
      <c r="O63" s="64">
        <v>5000</v>
      </c>
      <c r="P63" s="64"/>
      <c r="Q63" s="64"/>
      <c r="R63" s="64"/>
      <c r="S63" s="64"/>
      <c r="T63" s="64"/>
      <c r="U63" s="64"/>
      <c r="V63" s="64"/>
      <c r="W63" s="64"/>
      <c r="X63" s="64">
        <f t="shared" si="14"/>
        <v>5000</v>
      </c>
      <c r="Y63" s="81">
        <f t="shared" si="9"/>
        <v>0</v>
      </c>
    </row>
    <row r="64" spans="1:25" s="16" customFormat="1" ht="23.25" customHeight="1">
      <c r="A64" s="1"/>
      <c r="B64" s="29"/>
      <c r="C64" s="61" t="s">
        <v>119</v>
      </c>
      <c r="D64" s="32">
        <f>F64</f>
        <v>500000</v>
      </c>
      <c r="E64" s="30"/>
      <c r="F64" s="25">
        <f>G64</f>
        <v>500000</v>
      </c>
      <c r="G64" s="32">
        <v>500000</v>
      </c>
      <c r="H64" s="25"/>
      <c r="I64" s="50"/>
      <c r="J64" s="79"/>
      <c r="K64" s="56">
        <f t="shared" si="13"/>
        <v>500000</v>
      </c>
      <c r="L64" s="64"/>
      <c r="M64" s="64"/>
      <c r="N64" s="64"/>
      <c r="O64" s="64"/>
      <c r="P64" s="64"/>
      <c r="Q64" s="64">
        <v>500000</v>
      </c>
      <c r="R64" s="64"/>
      <c r="S64" s="64"/>
      <c r="T64" s="64"/>
      <c r="U64" s="64"/>
      <c r="V64" s="64"/>
      <c r="W64" s="64"/>
      <c r="X64" s="64">
        <f t="shared" si="14"/>
        <v>500000</v>
      </c>
      <c r="Y64" s="81">
        <f t="shared" si="9"/>
        <v>0</v>
      </c>
    </row>
    <row r="65" spans="1:25" s="16" customFormat="1" ht="23.25" customHeight="1">
      <c r="A65" s="1"/>
      <c r="B65" s="29"/>
      <c r="C65" s="61" t="s">
        <v>120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50"/>
      <c r="J65" s="79"/>
      <c r="K65" s="56">
        <f t="shared" si="13"/>
        <v>200000</v>
      </c>
      <c r="L65" s="64"/>
      <c r="M65" s="64"/>
      <c r="N65" s="64"/>
      <c r="O65" s="64"/>
      <c r="P65" s="64"/>
      <c r="Q65" s="64">
        <v>200000</v>
      </c>
      <c r="R65" s="64"/>
      <c r="S65" s="64"/>
      <c r="T65" s="64"/>
      <c r="U65" s="64"/>
      <c r="V65" s="64"/>
      <c r="W65" s="64"/>
      <c r="X65" s="64">
        <f t="shared" si="14"/>
        <v>200000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83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>
        <f>120000-120000</f>
        <v>0</v>
      </c>
      <c r="Q66" s="64"/>
      <c r="R66" s="64"/>
      <c r="S66" s="64"/>
      <c r="T66" s="64"/>
      <c r="U66" s="64"/>
      <c r="V66" s="64"/>
      <c r="W66" s="64">
        <f>120000</f>
        <v>120000</v>
      </c>
      <c r="X66" s="64">
        <f t="shared" si="14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61" t="s">
        <v>84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0"/>
      <c r="J67" s="79">
        <f>H67/(L67+M67+N67+O67+P67)*100</f>
        <v>0</v>
      </c>
      <c r="K67" s="56">
        <f t="shared" si="13"/>
        <v>500</v>
      </c>
      <c r="L67" s="64"/>
      <c r="M67" s="64"/>
      <c r="N67" s="64"/>
      <c r="O67" s="64">
        <v>500</v>
      </c>
      <c r="P67" s="64"/>
      <c r="Q67" s="64"/>
      <c r="R67" s="64"/>
      <c r="S67" s="64"/>
      <c r="T67" s="64"/>
      <c r="U67" s="64"/>
      <c r="V67" s="64"/>
      <c r="W67" s="64"/>
      <c r="X67" s="64">
        <f t="shared" si="14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85</v>
      </c>
      <c r="D68" s="32">
        <f t="shared" si="11"/>
        <v>50000</v>
      </c>
      <c r="E68" s="30"/>
      <c r="F68" s="25">
        <f t="shared" si="12"/>
        <v>50000</v>
      </c>
      <c r="G68" s="33">
        <v>50000</v>
      </c>
      <c r="H68" s="25"/>
      <c r="I68" s="50"/>
      <c r="J68" s="79"/>
      <c r="K68" s="56">
        <f t="shared" si="13"/>
        <v>50000</v>
      </c>
      <c r="L68" s="64"/>
      <c r="M68" s="64"/>
      <c r="N68" s="64"/>
      <c r="O68" s="64"/>
      <c r="P68" s="64"/>
      <c r="Q68" s="64">
        <v>50000</v>
      </c>
      <c r="R68" s="64"/>
      <c r="S68" s="64"/>
      <c r="T68" s="64"/>
      <c r="U68" s="64"/>
      <c r="V68" s="64"/>
      <c r="W68" s="64"/>
      <c r="X68" s="64">
        <f t="shared" si="14"/>
        <v>50000</v>
      </c>
      <c r="Y68" s="81">
        <f t="shared" si="9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1"/>
        <v>25000</v>
      </c>
      <c r="E69" s="30"/>
      <c r="F69" s="25">
        <f t="shared" si="12"/>
        <v>25000</v>
      </c>
      <c r="G69" s="33">
        <v>25000</v>
      </c>
      <c r="H69" s="25"/>
      <c r="I69" s="50"/>
      <c r="J69" s="79">
        <f>H69/(L69+M69+N69+O69+P69)*100</f>
        <v>0</v>
      </c>
      <c r="K69" s="56">
        <f t="shared" si="13"/>
        <v>5000</v>
      </c>
      <c r="L69" s="64"/>
      <c r="M69" s="64"/>
      <c r="N69" s="64"/>
      <c r="O69" s="64"/>
      <c r="P69" s="64">
        <v>5000</v>
      </c>
      <c r="Q69" s="64"/>
      <c r="R69" s="64">
        <v>20000</v>
      </c>
      <c r="S69" s="64"/>
      <c r="T69" s="64"/>
      <c r="U69" s="64"/>
      <c r="V69" s="64"/>
      <c r="W69" s="64"/>
      <c r="X69" s="64">
        <f t="shared" si="14"/>
        <v>25000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86</v>
      </c>
      <c r="D70" s="32">
        <f t="shared" si="11"/>
        <v>200000</v>
      </c>
      <c r="E70" s="30"/>
      <c r="F70" s="25">
        <f t="shared" si="12"/>
        <v>200000</v>
      </c>
      <c r="G70" s="33">
        <v>200000</v>
      </c>
      <c r="H70" s="25">
        <f>60000</f>
        <v>60000</v>
      </c>
      <c r="I70" s="50">
        <f>H70/D70*100</f>
        <v>30</v>
      </c>
      <c r="J70" s="79">
        <f>H70/(L70+M70+N70+O70+P70)*100</f>
        <v>100</v>
      </c>
      <c r="K70" s="56">
        <f t="shared" si="13"/>
        <v>0</v>
      </c>
      <c r="L70" s="64"/>
      <c r="M70" s="64"/>
      <c r="N70" s="64"/>
      <c r="O70" s="64"/>
      <c r="P70" s="64">
        <v>60000</v>
      </c>
      <c r="Q70" s="64"/>
      <c r="R70" s="64">
        <f>65000-60000</f>
        <v>5000</v>
      </c>
      <c r="S70" s="64">
        <v>65000</v>
      </c>
      <c r="T70" s="64">
        <v>70000</v>
      </c>
      <c r="U70" s="64"/>
      <c r="V70" s="64"/>
      <c r="W70" s="64"/>
      <c r="X70" s="64">
        <f t="shared" si="14"/>
        <v>200000</v>
      </c>
      <c r="Y70" s="81">
        <f t="shared" si="9"/>
        <v>0</v>
      </c>
    </row>
    <row r="71" spans="1:25" s="16" customFormat="1" ht="24.75" customHeight="1">
      <c r="A71" s="1"/>
      <c r="B71" s="29"/>
      <c r="C71" s="60" t="s">
        <v>87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0"/>
      <c r="J71" s="79"/>
      <c r="K71" s="56">
        <f t="shared" si="13"/>
        <v>140000</v>
      </c>
      <c r="L71" s="64"/>
      <c r="M71" s="64"/>
      <c r="N71" s="64"/>
      <c r="O71" s="64">
        <v>60000</v>
      </c>
      <c r="P71" s="64">
        <f>-60000</f>
        <v>-60000</v>
      </c>
      <c r="Q71" s="64">
        <v>140000</v>
      </c>
      <c r="R71" s="64"/>
      <c r="S71" s="64"/>
      <c r="T71" s="64"/>
      <c r="U71" s="64"/>
      <c r="V71" s="64"/>
      <c r="W71" s="64">
        <f>60000</f>
        <v>60000</v>
      </c>
      <c r="X71" s="64">
        <f t="shared" si="14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0" t="s">
        <v>88</v>
      </c>
      <c r="D72" s="32">
        <f t="shared" si="11"/>
        <v>300000</v>
      </c>
      <c r="E72" s="30"/>
      <c r="F72" s="25">
        <f t="shared" si="12"/>
        <v>300000</v>
      </c>
      <c r="G72" s="33">
        <v>300000</v>
      </c>
      <c r="H72" s="25"/>
      <c r="I72" s="50"/>
      <c r="J72" s="79"/>
      <c r="K72" s="56">
        <f t="shared" si="13"/>
        <v>0</v>
      </c>
      <c r="L72" s="64"/>
      <c r="M72" s="64"/>
      <c r="N72" s="64">
        <v>100000</v>
      </c>
      <c r="O72" s="64"/>
      <c r="P72" s="64">
        <f>200000-300000</f>
        <v>-100000</v>
      </c>
      <c r="Q72" s="64"/>
      <c r="R72" s="64"/>
      <c r="S72" s="64"/>
      <c r="T72" s="64"/>
      <c r="U72" s="64"/>
      <c r="V72" s="64"/>
      <c r="W72" s="64">
        <f>300000</f>
        <v>300000</v>
      </c>
      <c r="X72" s="64">
        <f t="shared" si="14"/>
        <v>300000</v>
      </c>
      <c r="Y72" s="81">
        <f t="shared" si="9"/>
        <v>0</v>
      </c>
    </row>
    <row r="73" spans="1:25" s="16" customFormat="1" ht="24.75" customHeight="1">
      <c r="A73" s="1"/>
      <c r="B73" s="29"/>
      <c r="C73" s="62" t="s">
        <v>89</v>
      </c>
      <c r="D73" s="32">
        <f t="shared" si="11"/>
        <v>350000</v>
      </c>
      <c r="E73" s="30"/>
      <c r="F73" s="25">
        <f t="shared" si="12"/>
        <v>350000</v>
      </c>
      <c r="G73" s="33">
        <v>350000</v>
      </c>
      <c r="H73" s="25">
        <f>105000</f>
        <v>105000</v>
      </c>
      <c r="I73" s="50">
        <f>H73/D73*100</f>
        <v>30</v>
      </c>
      <c r="J73" s="79">
        <f>H73/(L73+M73+N73+O73+P73)*100</f>
        <v>100</v>
      </c>
      <c r="K73" s="56">
        <f t="shared" si="13"/>
        <v>0</v>
      </c>
      <c r="L73" s="64"/>
      <c r="M73" s="64"/>
      <c r="N73" s="64">
        <v>215000</v>
      </c>
      <c r="O73" s="64"/>
      <c r="P73" s="64">
        <f>-50000-60000</f>
        <v>-110000</v>
      </c>
      <c r="Q73" s="64"/>
      <c r="R73" s="64">
        <v>60000</v>
      </c>
      <c r="S73" s="64">
        <v>135000</v>
      </c>
      <c r="T73" s="64"/>
      <c r="U73" s="64"/>
      <c r="V73" s="64"/>
      <c r="W73" s="64">
        <v>50000</v>
      </c>
      <c r="X73" s="64">
        <f t="shared" si="14"/>
        <v>350000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90</v>
      </c>
      <c r="D74" s="32">
        <f t="shared" si="11"/>
        <v>200000</v>
      </c>
      <c r="E74" s="30"/>
      <c r="F74" s="25">
        <f t="shared" si="12"/>
        <v>200000</v>
      </c>
      <c r="G74" s="33">
        <v>200000</v>
      </c>
      <c r="H74" s="25"/>
      <c r="I74" s="50"/>
      <c r="J74" s="79"/>
      <c r="K74" s="56">
        <f t="shared" si="13"/>
        <v>0</v>
      </c>
      <c r="L74" s="64"/>
      <c r="M74" s="64"/>
      <c r="N74" s="64">
        <v>60000</v>
      </c>
      <c r="O74" s="64"/>
      <c r="P74" s="64">
        <v>-60000</v>
      </c>
      <c r="Q74" s="64"/>
      <c r="R74" s="64">
        <v>30000</v>
      </c>
      <c r="S74" s="64">
        <f>21967+30000</f>
        <v>51967</v>
      </c>
      <c r="T74" s="64">
        <v>40000</v>
      </c>
      <c r="U74" s="64"/>
      <c r="V74" s="64"/>
      <c r="W74" s="64">
        <v>78033</v>
      </c>
      <c r="X74" s="64">
        <f t="shared" si="14"/>
        <v>200000</v>
      </c>
      <c r="Y74" s="81">
        <f t="shared" si="9"/>
        <v>0</v>
      </c>
    </row>
    <row r="75" spans="1:25" s="16" customFormat="1" ht="24.75" customHeight="1">
      <c r="A75" s="1"/>
      <c r="B75" s="29"/>
      <c r="C75" s="63" t="s">
        <v>91</v>
      </c>
      <c r="D75" s="32">
        <f t="shared" si="11"/>
        <v>250000</v>
      </c>
      <c r="E75" s="30"/>
      <c r="F75" s="25">
        <f t="shared" si="12"/>
        <v>250000</v>
      </c>
      <c r="G75" s="33">
        <v>250000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>
        <v>125000</v>
      </c>
      <c r="U75" s="64">
        <v>125000</v>
      </c>
      <c r="V75" s="64"/>
      <c r="W75" s="64"/>
      <c r="X75" s="64">
        <f t="shared" si="14"/>
        <v>250000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92</v>
      </c>
      <c r="D76" s="32">
        <f t="shared" si="11"/>
        <v>260000</v>
      </c>
      <c r="E76" s="30"/>
      <c r="F76" s="25">
        <f t="shared" si="12"/>
        <v>260000</v>
      </c>
      <c r="G76" s="33">
        <v>260000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135000</v>
      </c>
      <c r="V76" s="64">
        <v>125000</v>
      </c>
      <c r="W76" s="64"/>
      <c r="X76" s="64">
        <f t="shared" si="14"/>
        <v>260000</v>
      </c>
      <c r="Y76" s="81">
        <f t="shared" si="9"/>
        <v>0</v>
      </c>
    </row>
    <row r="77" spans="1:25" s="16" customFormat="1" ht="24.75" customHeight="1">
      <c r="A77" s="1"/>
      <c r="B77" s="29"/>
      <c r="C77" s="61" t="s">
        <v>109</v>
      </c>
      <c r="D77" s="32">
        <f t="shared" si="11"/>
        <v>150000</v>
      </c>
      <c r="E77" s="30"/>
      <c r="F77" s="25">
        <f t="shared" si="12"/>
        <v>150000</v>
      </c>
      <c r="G77" s="33">
        <v>150000</v>
      </c>
      <c r="H77" s="25"/>
      <c r="I77" s="50"/>
      <c r="J77" s="79"/>
      <c r="K77" s="56">
        <f t="shared" si="13"/>
        <v>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150000</v>
      </c>
      <c r="W77" s="64"/>
      <c r="X77" s="64">
        <f t="shared" si="14"/>
        <v>150000</v>
      </c>
      <c r="Y77" s="81">
        <f t="shared" si="9"/>
        <v>0</v>
      </c>
    </row>
    <row r="78" spans="1:25" s="16" customFormat="1" ht="24.75" customHeight="1">
      <c r="A78" s="1"/>
      <c r="B78" s="29"/>
      <c r="C78" s="61" t="s">
        <v>93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0"/>
      <c r="J78" s="79"/>
      <c r="K78" s="56">
        <f t="shared" si="13"/>
        <v>0</v>
      </c>
      <c r="L78" s="64"/>
      <c r="M78" s="64"/>
      <c r="N78" s="64"/>
      <c r="O78" s="64"/>
      <c r="P78" s="64"/>
      <c r="Q78" s="64"/>
      <c r="R78" s="64"/>
      <c r="S78" s="64"/>
      <c r="T78" s="64"/>
      <c r="U78" s="64">
        <v>150000</v>
      </c>
      <c r="V78" s="64"/>
      <c r="W78" s="64"/>
      <c r="X78" s="64">
        <f t="shared" si="14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60" t="s">
        <v>94</v>
      </c>
      <c r="D79" s="32">
        <f t="shared" si="11"/>
        <v>12500000</v>
      </c>
      <c r="E79" s="30"/>
      <c r="F79" s="25">
        <f t="shared" si="12"/>
        <v>12500000</v>
      </c>
      <c r="G79" s="33">
        <v>12500000</v>
      </c>
      <c r="H79" s="25">
        <f>6182.05</f>
        <v>6182.05</v>
      </c>
      <c r="I79" s="25">
        <f>H79/D79*100</f>
        <v>0.0494564</v>
      </c>
      <c r="J79" s="79">
        <f>H79/(L79+M79+N79+O79+P79)*100</f>
        <v>99.99999999999996</v>
      </c>
      <c r="K79" s="56">
        <f t="shared" si="13"/>
        <v>0</v>
      </c>
      <c r="L79" s="64"/>
      <c r="M79" s="64"/>
      <c r="N79" s="64">
        <v>125000</v>
      </c>
      <c r="O79" s="64"/>
      <c r="P79" s="64">
        <f>-118817.95</f>
        <v>-118817.95</v>
      </c>
      <c r="Q79" s="64"/>
      <c r="R79" s="64">
        <v>6000000</v>
      </c>
      <c r="S79" s="64"/>
      <c r="T79" s="64"/>
      <c r="U79" s="64">
        <v>2000000</v>
      </c>
      <c r="V79" s="64">
        <v>4375000</v>
      </c>
      <c r="W79" s="64">
        <f>118817.95</f>
        <v>118817.95</v>
      </c>
      <c r="X79" s="64">
        <f t="shared" si="14"/>
        <v>12500000</v>
      </c>
      <c r="Y79" s="81">
        <f t="shared" si="9"/>
        <v>0</v>
      </c>
    </row>
    <row r="80" spans="1:25" s="16" customFormat="1" ht="21.75" customHeight="1">
      <c r="A80" s="1"/>
      <c r="B80" s="29"/>
      <c r="C80" s="60" t="s">
        <v>95</v>
      </c>
      <c r="D80" s="32">
        <f t="shared" si="11"/>
        <v>3050000</v>
      </c>
      <c r="E80" s="30"/>
      <c r="F80" s="25">
        <f t="shared" si="12"/>
        <v>3050000</v>
      </c>
      <c r="G80" s="33">
        <f>3043000+7000</f>
        <v>3050000</v>
      </c>
      <c r="H80" s="25">
        <f>275933.34+29437.7+941917.2+15430.54</f>
        <v>1262718.78</v>
      </c>
      <c r="I80" s="50">
        <f>H80/D80*100</f>
        <v>41.40061573770492</v>
      </c>
      <c r="J80" s="79">
        <f>H80/(L80+M80+N80+O80+P80)*100</f>
        <v>82.80123147540984</v>
      </c>
      <c r="K80" s="56">
        <f t="shared" si="13"/>
        <v>1787281.22</v>
      </c>
      <c r="L80" s="64"/>
      <c r="M80" s="64"/>
      <c r="N80" s="64">
        <v>754000</v>
      </c>
      <c r="O80" s="64">
        <v>7000</v>
      </c>
      <c r="P80" s="64">
        <v>764000</v>
      </c>
      <c r="Q80" s="64">
        <v>1525000</v>
      </c>
      <c r="R80" s="64"/>
      <c r="S80" s="64"/>
      <c r="T80" s="64"/>
      <c r="U80" s="64"/>
      <c r="V80" s="64"/>
      <c r="W80" s="64"/>
      <c r="X80" s="64">
        <f t="shared" si="14"/>
        <v>3050000</v>
      </c>
      <c r="Y80" s="81">
        <f t="shared" si="9"/>
        <v>0</v>
      </c>
    </row>
    <row r="81" spans="1:25" s="16" customFormat="1" ht="18.75" customHeight="1">
      <c r="A81" s="1"/>
      <c r="B81" s="29"/>
      <c r="C81" s="60" t="s">
        <v>96</v>
      </c>
      <c r="D81" s="32">
        <f t="shared" si="11"/>
        <v>2938191</v>
      </c>
      <c r="E81" s="30"/>
      <c r="F81" s="25">
        <f t="shared" si="12"/>
        <v>2938191</v>
      </c>
      <c r="G81" s="33">
        <f>6648900-7000+1500000-5115600-88109</f>
        <v>2938191</v>
      </c>
      <c r="H81" s="25">
        <f>1453283.2</f>
        <v>1453283.2</v>
      </c>
      <c r="I81" s="50">
        <f>H81/D81*100</f>
        <v>49.46183553077387</v>
      </c>
      <c r="J81" s="79"/>
      <c r="K81" s="56">
        <f t="shared" si="13"/>
        <v>546716.8</v>
      </c>
      <c r="L81" s="64"/>
      <c r="M81" s="64"/>
      <c r="N81" s="64">
        <v>7000</v>
      </c>
      <c r="O81" s="64">
        <v>-7000</v>
      </c>
      <c r="P81" s="64"/>
      <c r="Q81" s="64">
        <f>3315950+2000000-3315950</f>
        <v>2000000</v>
      </c>
      <c r="R81" s="64"/>
      <c r="S81" s="64"/>
      <c r="T81" s="64">
        <f>1000000-749150</f>
        <v>250850</v>
      </c>
      <c r="U81" s="64">
        <f>1000000-1000000</f>
        <v>0</v>
      </c>
      <c r="V81" s="64">
        <f>1325950+1000000-1000000-550500-88109</f>
        <v>687341</v>
      </c>
      <c r="W81" s="64">
        <f>500000-500000</f>
        <v>0</v>
      </c>
      <c r="X81" s="64">
        <f t="shared" si="14"/>
        <v>2938191</v>
      </c>
      <c r="Y81" s="81">
        <f t="shared" si="9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1"/>
        <v>2519000</v>
      </c>
      <c r="E82" s="30"/>
      <c r="F82" s="25">
        <f t="shared" si="12"/>
        <v>2519000</v>
      </c>
      <c r="G82" s="33">
        <v>2519000</v>
      </c>
      <c r="H82" s="25">
        <f>595483.2+6729.38+480496.81</f>
        <v>1082709.39</v>
      </c>
      <c r="I82" s="50">
        <f>H82/D82*100</f>
        <v>42.981714569273514</v>
      </c>
      <c r="J82" s="79">
        <f>H82/(L82+M82+N82+O82+P82)*100</f>
        <v>97.98275022624433</v>
      </c>
      <c r="K82" s="56">
        <f t="shared" si="13"/>
        <v>1436290.61</v>
      </c>
      <c r="L82" s="64"/>
      <c r="M82" s="64">
        <v>300000</v>
      </c>
      <c r="N82" s="64">
        <v>330000</v>
      </c>
      <c r="O82" s="64"/>
      <c r="P82" s="64">
        <f>370000+105000</f>
        <v>475000</v>
      </c>
      <c r="Q82" s="64">
        <f>1519000-105000</f>
        <v>1414000</v>
      </c>
      <c r="R82" s="64"/>
      <c r="S82" s="64"/>
      <c r="T82" s="64"/>
      <c r="U82" s="64"/>
      <c r="V82" s="64"/>
      <c r="W82" s="64"/>
      <c r="X82" s="64">
        <f t="shared" si="14"/>
        <v>2519000</v>
      </c>
      <c r="Y82" s="81">
        <f t="shared" si="9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1"/>
        <v>4000000</v>
      </c>
      <c r="E83" s="30"/>
      <c r="F83" s="25">
        <f t="shared" si="12"/>
        <v>4000000</v>
      </c>
      <c r="G83" s="33">
        <f>125000+3875000</f>
        <v>4000000</v>
      </c>
      <c r="H83" s="25">
        <f>40071.36</f>
        <v>40071.36</v>
      </c>
      <c r="I83" s="50">
        <f>H83/D83*100</f>
        <v>1.001784</v>
      </c>
      <c r="J83" s="79">
        <f>H83/(L83+M83+N83+O83+P83)*100</f>
        <v>20.03568</v>
      </c>
      <c r="K83" s="56">
        <f t="shared" si="13"/>
        <v>159928.64</v>
      </c>
      <c r="L83" s="64"/>
      <c r="M83" s="64"/>
      <c r="N83" s="64">
        <v>125000</v>
      </c>
      <c r="O83" s="64">
        <v>75000</v>
      </c>
      <c r="P83" s="64"/>
      <c r="Q83" s="64"/>
      <c r="R83" s="64">
        <v>1900000</v>
      </c>
      <c r="S83" s="64"/>
      <c r="T83" s="64"/>
      <c r="U83" s="64">
        <v>950000</v>
      </c>
      <c r="V83" s="64">
        <v>950000</v>
      </c>
      <c r="W83" s="64"/>
      <c r="X83" s="64">
        <f t="shared" si="14"/>
        <v>4000000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118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50"/>
      <c r="J84" s="79"/>
      <c r="K84" s="56">
        <f t="shared" si="13"/>
        <v>100000</v>
      </c>
      <c r="L84" s="64"/>
      <c r="M84" s="64"/>
      <c r="N84" s="64"/>
      <c r="O84" s="64"/>
      <c r="P84" s="64"/>
      <c r="Q84" s="64">
        <v>100000</v>
      </c>
      <c r="R84" s="64"/>
      <c r="S84" s="64"/>
      <c r="T84" s="64"/>
      <c r="U84" s="64"/>
      <c r="V84" s="64"/>
      <c r="W84" s="64"/>
      <c r="X84" s="64">
        <f t="shared" si="14"/>
        <v>100000</v>
      </c>
      <c r="Y84" s="81">
        <f t="shared" si="9"/>
        <v>0</v>
      </c>
    </row>
    <row r="85" spans="1:25" s="16" customFormat="1" ht="40.5" customHeight="1">
      <c r="A85" s="1"/>
      <c r="B85" s="29"/>
      <c r="C85" s="60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0"/>
      <c r="J85" s="79">
        <f>H85/(L85+M85+N85+O85+P85)*100</f>
        <v>0</v>
      </c>
      <c r="K85" s="56">
        <f t="shared" si="13"/>
        <v>147000</v>
      </c>
      <c r="L85" s="64"/>
      <c r="M85" s="64">
        <v>462000</v>
      </c>
      <c r="N85" s="64">
        <v>-315000</v>
      </c>
      <c r="O85" s="64"/>
      <c r="P85" s="64"/>
      <c r="Q85" s="64"/>
      <c r="R85" s="64"/>
      <c r="S85" s="64"/>
      <c r="T85" s="64">
        <f>125000-125000</f>
        <v>0</v>
      </c>
      <c r="U85" s="64">
        <f>260000-260000</f>
        <v>0</v>
      </c>
      <c r="V85" s="64"/>
      <c r="W85" s="64"/>
      <c r="X85" s="64">
        <f t="shared" si="14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0" t="s">
        <v>97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0"/>
      <c r="J86" s="79"/>
      <c r="K86" s="56">
        <f t="shared" si="13"/>
        <v>0</v>
      </c>
      <c r="L86" s="64"/>
      <c r="M86" s="64"/>
      <c r="N86" s="64"/>
      <c r="O86" s="64">
        <v>80000</v>
      </c>
      <c r="P86" s="64">
        <f>-80000</f>
        <v>-80000</v>
      </c>
      <c r="Q86" s="64"/>
      <c r="R86" s="64">
        <v>1460000</v>
      </c>
      <c r="S86" s="64">
        <v>1460000</v>
      </c>
      <c r="T86" s="64"/>
      <c r="U86" s="64"/>
      <c r="V86" s="64"/>
      <c r="W86" s="64">
        <f>80000</f>
        <v>80000</v>
      </c>
      <c r="X86" s="64">
        <f t="shared" si="14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2188000</v>
      </c>
      <c r="E87" s="30"/>
      <c r="F87" s="25">
        <f t="shared" si="12"/>
        <v>2188000</v>
      </c>
      <c r="G87" s="33">
        <f>988000+1200000</f>
        <v>2188000</v>
      </c>
      <c r="H87" s="25">
        <f>286305.66+72060+594.73+601021.9+5516.59+658722</f>
        <v>1624220.88</v>
      </c>
      <c r="I87" s="50">
        <f>H87/D87*100</f>
        <v>74.23312979890311</v>
      </c>
      <c r="J87" s="79">
        <f>H87/(L87+M87+N87+O87+P87)*100</f>
        <v>104.11790508211473</v>
      </c>
      <c r="K87" s="56">
        <f t="shared" si="13"/>
        <v>761.410000000149</v>
      </c>
      <c r="L87" s="64"/>
      <c r="M87" s="64">
        <v>400000</v>
      </c>
      <c r="N87" s="64">
        <v>588000</v>
      </c>
      <c r="O87" s="64"/>
      <c r="P87" s="64">
        <f>-28017.71+600000</f>
        <v>571982.29</v>
      </c>
      <c r="Q87" s="64">
        <v>65000</v>
      </c>
      <c r="R87" s="64">
        <f>600000-65000</f>
        <v>535000</v>
      </c>
      <c r="S87" s="64"/>
      <c r="T87" s="64"/>
      <c r="U87" s="64"/>
      <c r="V87" s="64"/>
      <c r="W87" s="64">
        <f>28017.71</f>
        <v>28017.71</v>
      </c>
      <c r="X87" s="64">
        <f t="shared" si="14"/>
        <v>2188000</v>
      </c>
      <c r="Y87" s="81">
        <f t="shared" si="9"/>
        <v>0</v>
      </c>
    </row>
    <row r="88" spans="1:25" s="16" customFormat="1" ht="39.75" customHeight="1">
      <c r="A88" s="1"/>
      <c r="B88" s="29"/>
      <c r="C88" s="60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0">
        <f>H88/D88*100</f>
        <v>28.471594488188977</v>
      </c>
      <c r="J88" s="79">
        <f>H88/(L88+M88+N88+O88+P88)*100</f>
        <v>100</v>
      </c>
      <c r="K88" s="56">
        <f t="shared" si="13"/>
        <v>0</v>
      </c>
      <c r="L88" s="64"/>
      <c r="M88" s="64">
        <v>314000</v>
      </c>
      <c r="N88" s="64">
        <v>-60000</v>
      </c>
      <c r="O88" s="64">
        <f>940000-940000</f>
        <v>0</v>
      </c>
      <c r="P88" s="64">
        <f>-181682.15</f>
        <v>-181682.15</v>
      </c>
      <c r="Q88" s="64"/>
      <c r="R88" s="64"/>
      <c r="S88" s="64"/>
      <c r="T88" s="64"/>
      <c r="U88" s="64"/>
      <c r="V88" s="64"/>
      <c r="W88" s="64">
        <f>181682.15</f>
        <v>181682.15</v>
      </c>
      <c r="X88" s="64">
        <f t="shared" si="14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0" t="s">
        <v>98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13429+7850000</f>
        <v>7863429</v>
      </c>
      <c r="I89" s="50">
        <f>H89/D89*100</f>
        <v>49.14643125</v>
      </c>
      <c r="J89" s="79">
        <f>H89/(L89+M89+N89+O89+P89)*100</f>
        <v>98.07220004988775</v>
      </c>
      <c r="K89" s="56">
        <f t="shared" si="13"/>
        <v>154571</v>
      </c>
      <c r="L89" s="64"/>
      <c r="M89" s="64"/>
      <c r="N89" s="64">
        <f>700000+418000+500000</f>
        <v>1618000</v>
      </c>
      <c r="O89" s="64"/>
      <c r="P89" s="64">
        <f>6400000</f>
        <v>6400000</v>
      </c>
      <c r="Q89" s="64">
        <f>1547800+940000-2487800</f>
        <v>0</v>
      </c>
      <c r="R89" s="64"/>
      <c r="S89" s="64"/>
      <c r="T89" s="65">
        <f>1731585.76-912200</f>
        <v>819385.76</v>
      </c>
      <c r="U89" s="64">
        <f>3000000</f>
        <v>3000000</v>
      </c>
      <c r="V89" s="65">
        <v>3741261.78</v>
      </c>
      <c r="W89" s="65">
        <f>3421352.46-3000000</f>
        <v>421352.45999999996</v>
      </c>
      <c r="X89" s="64">
        <f t="shared" si="14"/>
        <v>16000000</v>
      </c>
      <c r="Y89" s="81">
        <f aca="true" t="shared" si="15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0"/>
      <c r="J90" s="79"/>
      <c r="K90" s="56">
        <f t="shared" si="13"/>
        <v>0</v>
      </c>
      <c r="L90" s="64"/>
      <c r="M90" s="64">
        <v>300000</v>
      </c>
      <c r="N90" s="64">
        <f>537000-700000</f>
        <v>-163000</v>
      </c>
      <c r="O90" s="64"/>
      <c r="P90" s="64">
        <f>-137000</f>
        <v>-137000</v>
      </c>
      <c r="Q90" s="64"/>
      <c r="R90" s="64"/>
      <c r="S90" s="64"/>
      <c r="T90" s="64"/>
      <c r="U90" s="64"/>
      <c r="V90" s="64"/>
      <c r="W90" s="64">
        <f>137000</f>
        <v>137000</v>
      </c>
      <c r="X90" s="64">
        <f t="shared" si="14"/>
        <v>137000</v>
      </c>
      <c r="Y90" s="81">
        <f t="shared" si="15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0"/>
      <c r="J91" s="79"/>
      <c r="K91" s="56">
        <f t="shared" si="13"/>
        <v>128000</v>
      </c>
      <c r="L91" s="64"/>
      <c r="M91" s="64">
        <v>300000</v>
      </c>
      <c r="N91" s="64">
        <f>600000-500000</f>
        <v>100000</v>
      </c>
      <c r="O91" s="64"/>
      <c r="P91" s="64">
        <f>-192000-128000-80000</f>
        <v>-400000</v>
      </c>
      <c r="Q91" s="64">
        <v>128000</v>
      </c>
      <c r="R91" s="64">
        <v>70000</v>
      </c>
      <c r="S91" s="64">
        <v>10000</v>
      </c>
      <c r="T91" s="64"/>
      <c r="U91" s="64"/>
      <c r="V91" s="64"/>
      <c r="W91" s="64">
        <f>192000</f>
        <v>192000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0"/>
      <c r="J92" s="79"/>
      <c r="K92" s="56">
        <f t="shared" si="13"/>
        <v>0</v>
      </c>
      <c r="L92" s="64"/>
      <c r="M92" s="64">
        <v>248000</v>
      </c>
      <c r="N92" s="64"/>
      <c r="O92" s="64"/>
      <c r="P92" s="64">
        <f>-167000-81000</f>
        <v>-248000</v>
      </c>
      <c r="Q92" s="64"/>
      <c r="R92" s="64"/>
      <c r="S92" s="64">
        <v>71000</v>
      </c>
      <c r="T92" s="64">
        <v>10000</v>
      </c>
      <c r="U92" s="64"/>
      <c r="V92" s="64"/>
      <c r="W92" s="64">
        <f>167000</f>
        <v>167000</v>
      </c>
      <c r="X92" s="64">
        <f t="shared" si="14"/>
        <v>248000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99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0"/>
      <c r="J93" s="79">
        <f>H93/(L93+M93+N93+O93+P93)*100</f>
        <v>0</v>
      </c>
      <c r="K93" s="56">
        <f t="shared" si="13"/>
        <v>4445000</v>
      </c>
      <c r="L93" s="64"/>
      <c r="M93" s="64"/>
      <c r="N93" s="64"/>
      <c r="O93" s="64">
        <v>20000</v>
      </c>
      <c r="P93" s="64"/>
      <c r="Q93" s="64">
        <f>6490000-2065000</f>
        <v>4425000</v>
      </c>
      <c r="R93" s="64">
        <v>65000</v>
      </c>
      <c r="S93" s="64">
        <v>6490000</v>
      </c>
      <c r="T93" s="64"/>
      <c r="U93" s="64">
        <v>1000000</v>
      </c>
      <c r="V93" s="64">
        <v>1000000</v>
      </c>
      <c r="W93" s="64"/>
      <c r="X93" s="64">
        <f t="shared" si="14"/>
        <v>13000000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100</v>
      </c>
      <c r="D94" s="32">
        <f t="shared" si="16"/>
        <v>3585100</v>
      </c>
      <c r="E94" s="6"/>
      <c r="F94" s="25">
        <f t="shared" si="12"/>
        <v>3585100</v>
      </c>
      <c r="G94" s="33">
        <f>400000+3185100</f>
        <v>3585100</v>
      </c>
      <c r="H94" s="25">
        <v>142252.63</v>
      </c>
      <c r="I94" s="50">
        <f>H94/D94*100</f>
        <v>3.9678845778360436</v>
      </c>
      <c r="J94" s="79">
        <f>H94/(L94+M94+N94+O94+P94)*100</f>
        <v>100</v>
      </c>
      <c r="K94" s="56">
        <f t="shared" si="13"/>
        <v>2632950</v>
      </c>
      <c r="L94" s="64"/>
      <c r="M94" s="64"/>
      <c r="N94" s="64"/>
      <c r="O94" s="64"/>
      <c r="P94" s="64">
        <f>120000-747.37+23000</f>
        <v>142252.63</v>
      </c>
      <c r="Q94" s="64">
        <f>140000-23000+2515950</f>
        <v>2632950</v>
      </c>
      <c r="R94" s="64">
        <v>140000</v>
      </c>
      <c r="S94" s="64"/>
      <c r="T94" s="64">
        <v>669150</v>
      </c>
      <c r="U94" s="64"/>
      <c r="V94" s="64"/>
      <c r="W94" s="64">
        <f>747.37</f>
        <v>747.37</v>
      </c>
      <c r="X94" s="64">
        <f t="shared" si="14"/>
        <v>3585100</v>
      </c>
      <c r="Y94" s="81">
        <f t="shared" si="15"/>
        <v>0</v>
      </c>
    </row>
    <row r="95" spans="1:25" s="16" customFormat="1" ht="40.5" customHeight="1">
      <c r="A95" s="1"/>
      <c r="B95" s="29"/>
      <c r="C95" s="60" t="s">
        <v>101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>
        <f>81000+29133</f>
        <v>110133</v>
      </c>
      <c r="I95" s="50">
        <f>H95/D95*100</f>
        <v>36.711</v>
      </c>
      <c r="J95" s="79">
        <f>H95/(L95+M95+N95+O95+P95)*100</f>
        <v>99.21891891891892</v>
      </c>
      <c r="K95" s="56">
        <f t="shared" si="13"/>
        <v>867</v>
      </c>
      <c r="L95" s="64"/>
      <c r="M95" s="64"/>
      <c r="N95" s="64"/>
      <c r="O95" s="64"/>
      <c r="P95" s="64">
        <v>111000</v>
      </c>
      <c r="Q95" s="64"/>
      <c r="R95" s="64">
        <f>100000-100000</f>
        <v>0</v>
      </c>
      <c r="S95" s="64">
        <f>100000-11000</f>
        <v>89000</v>
      </c>
      <c r="T95" s="64">
        <v>100000</v>
      </c>
      <c r="U95" s="64"/>
      <c r="V95" s="64"/>
      <c r="W95" s="64"/>
      <c r="X95" s="64">
        <f t="shared" si="14"/>
        <v>300000</v>
      </c>
      <c r="Y95" s="81">
        <f t="shared" si="15"/>
        <v>0</v>
      </c>
    </row>
    <row r="96" spans="1:25" s="16" customFormat="1" ht="40.5" customHeight="1">
      <c r="A96" s="1"/>
      <c r="B96" s="29"/>
      <c r="C96" s="60" t="s">
        <v>102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>
        <v>81000</v>
      </c>
      <c r="I96" s="50">
        <f>H96/D96*100</f>
        <v>27</v>
      </c>
      <c r="J96" s="79">
        <f>H96/(L96+M96+N96+O96+P96)*100</f>
        <v>73.63636363636363</v>
      </c>
      <c r="K96" s="56">
        <f t="shared" si="13"/>
        <v>29000</v>
      </c>
      <c r="L96" s="64"/>
      <c r="M96" s="64"/>
      <c r="N96" s="64"/>
      <c r="O96" s="64"/>
      <c r="P96" s="64">
        <v>110000</v>
      </c>
      <c r="Q96" s="64"/>
      <c r="R96" s="64"/>
      <c r="S96" s="64">
        <f>100000-100000</f>
        <v>0</v>
      </c>
      <c r="T96" s="64">
        <f>100000-10000</f>
        <v>90000</v>
      </c>
      <c r="U96" s="64">
        <v>100000</v>
      </c>
      <c r="V96" s="64"/>
      <c r="W96" s="64"/>
      <c r="X96" s="64">
        <f t="shared" si="14"/>
        <v>300000</v>
      </c>
      <c r="Y96" s="81">
        <f t="shared" si="15"/>
        <v>0</v>
      </c>
    </row>
    <row r="97" spans="1:25" s="16" customFormat="1" ht="40.5" customHeight="1">
      <c r="A97" s="1"/>
      <c r="B97" s="29"/>
      <c r="C97" s="60" t="s">
        <v>103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>
        <v>139785.59</v>
      </c>
      <c r="I97" s="50">
        <f>H97/D97*100</f>
        <v>25.982451672862457</v>
      </c>
      <c r="J97" s="79"/>
      <c r="K97" s="56">
        <f t="shared" si="13"/>
        <v>20214.410000000003</v>
      </c>
      <c r="L97" s="64"/>
      <c r="M97" s="64"/>
      <c r="N97" s="64"/>
      <c r="O97" s="64"/>
      <c r="P97" s="64"/>
      <c r="Q97" s="64">
        <v>160000</v>
      </c>
      <c r="R97" s="64">
        <v>189000</v>
      </c>
      <c r="S97" s="64">
        <v>189000</v>
      </c>
      <c r="T97" s="64"/>
      <c r="U97" s="64"/>
      <c r="V97" s="64"/>
      <c r="W97" s="64"/>
      <c r="X97" s="64">
        <f t="shared" si="14"/>
        <v>538000</v>
      </c>
      <c r="Y97" s="81">
        <f t="shared" si="15"/>
        <v>0</v>
      </c>
    </row>
    <row r="98" spans="1:25" s="16" customFormat="1" ht="21" customHeight="1">
      <c r="A98" s="1"/>
      <c r="B98" s="29"/>
      <c r="C98" s="60" t="s">
        <v>104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0"/>
      <c r="J98" s="79">
        <f>H98/(L98+M98+N98+O98+P98)*100</f>
        <v>0</v>
      </c>
      <c r="K98" s="56">
        <f t="shared" si="13"/>
        <v>5000</v>
      </c>
      <c r="L98" s="64"/>
      <c r="M98" s="64"/>
      <c r="N98" s="64"/>
      <c r="O98" s="64"/>
      <c r="P98" s="64">
        <v>5000</v>
      </c>
      <c r="Q98" s="64"/>
      <c r="R98" s="64"/>
      <c r="S98" s="64"/>
      <c r="T98" s="64"/>
      <c r="U98" s="64"/>
      <c r="V98" s="64"/>
      <c r="W98" s="64"/>
      <c r="X98" s="64">
        <f t="shared" si="14"/>
        <v>5000</v>
      </c>
      <c r="Y98" s="81">
        <f t="shared" si="15"/>
        <v>0</v>
      </c>
    </row>
    <row r="99" spans="1:25" s="16" customFormat="1" ht="26.25" customHeight="1">
      <c r="A99" s="1"/>
      <c r="B99" s="29"/>
      <c r="C99" s="60" t="s">
        <v>105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0"/>
      <c r="J99" s="79"/>
      <c r="K99" s="56">
        <f t="shared" si="13"/>
        <v>0</v>
      </c>
      <c r="L99" s="64"/>
      <c r="M99" s="64"/>
      <c r="N99" s="64"/>
      <c r="O99" s="64"/>
      <c r="P99" s="64"/>
      <c r="Q99" s="64"/>
      <c r="R99" s="64"/>
      <c r="S99" s="64"/>
      <c r="T99" s="64">
        <v>20640</v>
      </c>
      <c r="U99" s="64"/>
      <c r="V99" s="64"/>
      <c r="W99" s="64"/>
      <c r="X99" s="64">
        <f t="shared" si="14"/>
        <v>20640</v>
      </c>
      <c r="Y99" s="81">
        <f t="shared" si="15"/>
        <v>0</v>
      </c>
    </row>
    <row r="100" spans="1:25" s="16" customFormat="1" ht="22.5" customHeight="1">
      <c r="A100" s="1"/>
      <c r="B100" s="29"/>
      <c r="C100" s="61" t="s">
        <v>106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0"/>
      <c r="J100" s="79"/>
      <c r="K100" s="56">
        <f t="shared" si="13"/>
        <v>0</v>
      </c>
      <c r="L100" s="64"/>
      <c r="M100" s="64"/>
      <c r="N100" s="64"/>
      <c r="O100" s="64"/>
      <c r="P100" s="64"/>
      <c r="Q100" s="64"/>
      <c r="R100" s="64"/>
      <c r="S100" s="64"/>
      <c r="T100" s="64">
        <v>250000</v>
      </c>
      <c r="U100" s="64"/>
      <c r="V100" s="64"/>
      <c r="W100" s="64"/>
      <c r="X100" s="64">
        <f t="shared" si="14"/>
        <v>250000</v>
      </c>
      <c r="Y100" s="81">
        <f t="shared" si="15"/>
        <v>0</v>
      </c>
    </row>
    <row r="101" spans="1:25" s="16" customFormat="1" ht="22.5" customHeight="1">
      <c r="A101" s="1"/>
      <c r="B101" s="29"/>
      <c r="C101" s="60" t="s">
        <v>107</v>
      </c>
      <c r="D101" s="32">
        <f t="shared" si="16"/>
        <v>2050000</v>
      </c>
      <c r="E101" s="6"/>
      <c r="F101" s="25">
        <f t="shared" si="12"/>
        <v>2050000</v>
      </c>
      <c r="G101" s="33">
        <f>50000+2000000</f>
        <v>2050000</v>
      </c>
      <c r="H101" s="25"/>
      <c r="I101" s="50"/>
      <c r="J101" s="79"/>
      <c r="K101" s="56">
        <f t="shared" si="13"/>
        <v>0</v>
      </c>
      <c r="L101" s="64"/>
      <c r="M101" s="64"/>
      <c r="N101" s="64"/>
      <c r="O101" s="64"/>
      <c r="P101" s="64"/>
      <c r="Q101" s="64"/>
      <c r="R101" s="64"/>
      <c r="S101" s="64"/>
      <c r="T101" s="64">
        <v>50000</v>
      </c>
      <c r="U101" s="64"/>
      <c r="V101" s="64">
        <v>1081074.46</v>
      </c>
      <c r="W101" s="64">
        <v>918925.54</v>
      </c>
      <c r="X101" s="64">
        <f t="shared" si="14"/>
        <v>2050000</v>
      </c>
      <c r="Y101" s="81">
        <f t="shared" si="15"/>
        <v>0</v>
      </c>
    </row>
    <row r="102" spans="1:25" ht="18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59763029.81</v>
      </c>
      <c r="I102" s="48">
        <f>H102/D102*100</f>
        <v>30.62001926815</v>
      </c>
      <c r="J102" s="79">
        <f>H102/(L102+M102+N102+O102+P102)*100</f>
        <v>90.62135877993647</v>
      </c>
      <c r="K102" s="56">
        <f>L102+M102+N102+O102+P102+Q102-H102</f>
        <v>29613587.5</v>
      </c>
      <c r="L102" s="20">
        <f aca="true" t="shared" si="17" ref="L102:X102">L8+L23+L51</f>
        <v>112816</v>
      </c>
      <c r="M102" s="20">
        <f t="shared" si="17"/>
        <v>3716000</v>
      </c>
      <c r="N102" s="20">
        <f t="shared" si="17"/>
        <v>13424000</v>
      </c>
      <c r="O102" s="20">
        <f t="shared" si="17"/>
        <v>23627301.990000002</v>
      </c>
      <c r="P102" s="20">
        <f t="shared" si="17"/>
        <v>25067943.939999998</v>
      </c>
      <c r="Q102" s="20">
        <f t="shared" si="17"/>
        <v>23428555.38</v>
      </c>
      <c r="R102" s="20">
        <f t="shared" si="17"/>
        <v>35134272.010000005</v>
      </c>
      <c r="S102" s="20">
        <f t="shared" si="17"/>
        <v>21106952.259999998</v>
      </c>
      <c r="T102" s="20">
        <f t="shared" si="17"/>
        <v>7011945.859999999</v>
      </c>
      <c r="U102" s="20">
        <f t="shared" si="17"/>
        <v>18383031.23</v>
      </c>
      <c r="V102" s="20">
        <f t="shared" si="17"/>
        <v>16259781.759999998</v>
      </c>
      <c r="W102" s="20">
        <f t="shared" si="17"/>
        <v>7903729.43</v>
      </c>
      <c r="X102" s="20">
        <f t="shared" si="17"/>
        <v>195176329.86</v>
      </c>
      <c r="Y102" s="81">
        <f t="shared" si="15"/>
        <v>0</v>
      </c>
    </row>
    <row r="103" spans="1:11" ht="18" hidden="1">
      <c r="A103" s="39" t="s">
        <v>39</v>
      </c>
      <c r="B103" s="40"/>
      <c r="C103" s="41"/>
      <c r="D103" s="42"/>
      <c r="E103" s="42"/>
      <c r="F103" s="42"/>
      <c r="G103" s="42"/>
      <c r="K103" s="56">
        <f>L103+M103+N103-H103</f>
        <v>0</v>
      </c>
    </row>
    <row r="104" spans="1:11" ht="18" hidden="1">
      <c r="A104" s="2"/>
      <c r="B104" s="36"/>
      <c r="C104" s="37"/>
      <c r="D104" s="3"/>
      <c r="E104" s="36"/>
      <c r="F104" s="36"/>
      <c r="K104" s="56">
        <f>L104+M104+N104-H104</f>
        <v>0</v>
      </c>
    </row>
  </sheetData>
  <sheetProtection/>
  <mergeCells count="26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9:I49"/>
    <mergeCell ref="L4:L5"/>
    <mergeCell ref="K4:K5"/>
    <mergeCell ref="J4:J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2016-06-09T13:49:55Z</dcterms:modified>
  <cp:category/>
  <cp:version/>
  <cp:contentType/>
  <cp:contentStatus/>
</cp:coreProperties>
</file>